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oster" state="visible" r:id="rId5"/>
    <sheet sheetId="3" name="Course handicaps" state="visible" r:id="rId6"/>
    <sheet sheetId="4" name="Round 1 matches" state="visible" r:id="rId7"/>
    <sheet sheetId="5" name="Round 2 matches" state="visible" r:id="rId8"/>
    <sheet sheetId="6" name="Round 3 matches" state="visible" r:id="rId9"/>
    <sheet sheetId="7" name="Cup scoreboard" state="visible" r:id="rId10"/>
    <sheet sheetId="8" name="Side games" state="visible" r:id="rId11"/>
    <sheet sheetId="9" name="Money" state="visible" r:id="rId12"/>
  </sheets>
  <calcPr calcId="171027"/>
</workbook>
</file>

<file path=xl/sharedStrings.xml><?xml version="1.0" encoding="utf-8"?>
<sst xmlns="http://schemas.openxmlformats.org/spreadsheetml/2006/main" count="335" uniqueCount="137">
  <si>
    <t>Ryder Cup golf trip spreadsheet — 12 players, 3 rounds</t>
  </si>
  <si>
    <t>Made by Captain's Pick · https://captainspickgolf.com</t>
  </si>
  <si>
    <t/>
  </si>
  <si>
    <t>Blue cells on a pale yellow background are inputs. Black cells are formulas; the sheets are protected (no password) so you don't overwrite them by accident. Review → Unprotect Sheet if you need to change a formula.</t>
  </si>
  <si>
    <t>1. Roster: type each player's name, team (Red/Blue) and Handicap Index.</t>
  </si>
  <si>
    <t>2. Course handicaps: enter each round's course rating, slope and par. The sheet works out every player's Course Handicap (Index × Slope ÷ 113 + Rating − Par) and Playing Handicap (Course Handicap × the format's allowance).</t>
  </si>
  <si>
    <t>3. Pairings: pick the players in each match from the drop-downs. Strokes in the match are shown off the lowest Playing Handicap.</t>
  </si>
  <si>
    <t>4. Match results: choose Red, Blue or Halved for each match. Points (1 / ½ / 0) fill in automatically.</t>
  </si>
  <si>
    <t>5. Cup scoreboard: team totals, points still needed to win, and the current state of the cup.</t>
  </si>
  <si>
    <t>6. Side games: skins pots and Nassaus, with payouts per player.</t>
  </si>
  <si>
    <t>7. Money: each player's net position from the side games, and a space to record who paid whom.</t>
  </si>
  <si>
    <t>Allowances (USGA Rules of Handicapping, Appendix C): singles match play 100%, four-ball match play 90%, foursomes 50% of the side's combined Course Handicap. Change them on the Course handicaps sheet if your group plays differently.</t>
  </si>
  <si>
    <t>Sample data is filled in for round 1 so you can see every formula working. Overwrite it with your own.</t>
  </si>
  <si>
    <t>If you'd rather have all of this live on everyone's phone, Captain's Pick does it automatically: https://captainspickgolf.com</t>
  </si>
  <si>
    <t>Roster</t>
  </si>
  <si>
    <t>Name, team and Handicap Index for each player</t>
  </si>
  <si>
    <t>Player</t>
  </si>
  <si>
    <t>Team</t>
  </si>
  <si>
    <t>Handicap Index</t>
  </si>
  <si>
    <t>Team summary</t>
  </si>
  <si>
    <t>Players</t>
  </si>
  <si>
    <t>Player 1</t>
  </si>
  <si>
    <t>Red</t>
  </si>
  <si>
    <t>Player 2</t>
  </si>
  <si>
    <t>Blue</t>
  </si>
  <si>
    <t>Player 3</t>
  </si>
  <si>
    <t>Player 4</t>
  </si>
  <si>
    <t>Player 5</t>
  </si>
  <si>
    <t>Player 6</t>
  </si>
  <si>
    <t>Player 7</t>
  </si>
  <si>
    <t>Player 8</t>
  </si>
  <si>
    <t>Player 9</t>
  </si>
  <si>
    <t>Player 10</t>
  </si>
  <si>
    <t>Player 11</t>
  </si>
  <si>
    <t>Player 12</t>
  </si>
  <si>
    <t>Course handicaps</t>
  </si>
  <si>
    <t>Course Handicap = Index × (Slope ÷ 113) + (Rating − Par), rounded. Playing Handicap = Course Handicap × allowance, rounded.</t>
  </si>
  <si>
    <t>Round setup</t>
  </si>
  <si>
    <t>Round 1</t>
  </si>
  <si>
    <t>Round 2</t>
  </si>
  <si>
    <t>Round 3</t>
  </si>
  <si>
    <t>Format</t>
  </si>
  <si>
    <t>Four-ball</t>
  </si>
  <si>
    <t>Foursomes</t>
  </si>
  <si>
    <t>Singles</t>
  </si>
  <si>
    <t>Course</t>
  </si>
  <si>
    <t>Course A</t>
  </si>
  <si>
    <t>Course B</t>
  </si>
  <si>
    <t>Course C</t>
  </si>
  <si>
    <t>Course Rating</t>
  </si>
  <si>
    <t>Slope Rating</t>
  </si>
  <si>
    <t>Par</t>
  </si>
  <si>
    <t>Allowance</t>
  </si>
  <si>
    <t>Index</t>
  </si>
  <si>
    <t>Round 1 CH</t>
  </si>
  <si>
    <t>Round 1 PH</t>
  </si>
  <si>
    <t>Round 2 CH</t>
  </si>
  <si>
    <t>Round 2 PH</t>
  </si>
  <si>
    <t>Round 3 CH</t>
  </si>
  <si>
    <t>Round 3 PH</t>
  </si>
  <si>
    <t>Round 1 — Four-ball (Course A)</t>
  </si>
  <si>
    <t>Pick two Red and two Blue players per match. Strokes are given off the lowest Playing Handicap in the match.</t>
  </si>
  <si>
    <t>Match</t>
  </si>
  <si>
    <t>Red 1</t>
  </si>
  <si>
    <t>Red 2</t>
  </si>
  <si>
    <t>Red PH</t>
  </si>
  <si>
    <t>Blue 1</t>
  </si>
  <si>
    <t>Blue 2</t>
  </si>
  <si>
    <t>Blue PH</t>
  </si>
  <si>
    <t>Result</t>
  </si>
  <si>
    <t>Red pts</t>
  </si>
  <si>
    <t>Blue pts</t>
  </si>
  <si>
    <t>Halved</t>
  </si>
  <si>
    <t>Round total</t>
  </si>
  <si>
    <t>Strokes in the match: each player gets (own PH − lowest PH in the match) on the lowest stroke-index holes. Side PH shown is the side's low player.</t>
  </si>
  <si>
    <t>Round 2 — Foursomes (Course B)</t>
  </si>
  <si>
    <t>Strokes in the match: the side with the higher side handicap gets the difference, on the lowest stroke-index holes.</t>
  </si>
  <si>
    <t>Round 3 — Singles (Course C)</t>
  </si>
  <si>
    <t>Pick one Red and one Blue player per match. Strokes are given off the lower Playing Handicap.</t>
  </si>
  <si>
    <t>Strokes in the match: the higher-handicap player gets (own PH − opponent's PH) on the lowest stroke-index holes.</t>
  </si>
  <si>
    <t>Cup scoreboard</t>
  </si>
  <si>
    <t>One point per match, half for a tie. First team past half the points wins; a tie keeps the cup with the holder.</t>
  </si>
  <si>
    <t>Round</t>
  </si>
  <si>
    <t>Matches</t>
  </si>
  <si>
    <t>Round 1 — Four-ball</t>
  </si>
  <si>
    <t>Round 2 — Foursomes</t>
  </si>
  <si>
    <t>Round 3 — Singles</t>
  </si>
  <si>
    <t>Total</t>
  </si>
  <si>
    <t>Points available</t>
  </si>
  <si>
    <t>Points to win</t>
  </si>
  <si>
    <t>Red still needs</t>
  </si>
  <si>
    <t>Blue still needs</t>
  </si>
  <si>
    <t>Status</t>
  </si>
  <si>
    <t>Side games</t>
  </si>
  <si>
    <t>Skins: buy-in × players = pot; pot ÷ total skins = value per skin. Nassau: three bets per match (front, back, overall) at the stake.</t>
  </si>
  <si>
    <t>Skins</t>
  </si>
  <si>
    <t>Nassau</t>
  </si>
  <si>
    <t>Stake per bet</t>
  </si>
  <si>
    <t>Buy-in per player</t>
  </si>
  <si>
    <t>Stake ($)</t>
  </si>
  <si>
    <t>Players in</t>
  </si>
  <si>
    <t>Pot</t>
  </si>
  <si>
    <t>Match (round · #)</t>
  </si>
  <si>
    <t>Front 9</t>
  </si>
  <si>
    <t>Back 9</t>
  </si>
  <si>
    <t>Overall</t>
  </si>
  <si>
    <t>Total skins won</t>
  </si>
  <si>
    <t>Round 1 · 1</t>
  </si>
  <si>
    <t>Value per skin</t>
  </si>
  <si>
    <t>Round 1 · 2</t>
  </si>
  <si>
    <t>Round 1 · 3</t>
  </si>
  <si>
    <t>Skins won by player</t>
  </si>
  <si>
    <t>Won ($)</t>
  </si>
  <si>
    <t>Round 2 · 1</t>
  </si>
  <si>
    <t>Round 2 · 2</t>
  </si>
  <si>
    <t>Round 2 · 3</t>
  </si>
  <si>
    <t>Round 3 · 1</t>
  </si>
  <si>
    <t>Round 3 · 2</t>
  </si>
  <si>
    <t>Round 3 · 3</t>
  </si>
  <si>
    <t>Round 3 · 4</t>
  </si>
  <si>
    <t>Round 3 · 5</t>
  </si>
  <si>
    <t>Round 3 · 6</t>
  </si>
  <si>
    <t>Nassau bets won</t>
  </si>
  <si>
    <t>Red net ($)</t>
  </si>
  <si>
    <t>Totals</t>
  </si>
  <si>
    <t>Red net is what Blue owes Red in total (negative = Red owes Blue). Split it evenly across each team's players on the Money sheet.</t>
  </si>
  <si>
    <t>Money</t>
  </si>
  <si>
    <t>Net position per player: skins won − skins buy-ins + share of the team Nassau result. Positive = the group owes them; negative = they owe the group.</t>
  </si>
  <si>
    <t>Skins won</t>
  </si>
  <si>
    <t>Skins buy-ins</t>
  </si>
  <si>
    <t>Nassau share</t>
  </si>
  <si>
    <t>Net</t>
  </si>
  <si>
    <t>Paid by</t>
  </si>
  <si>
    <t>Paid to</t>
  </si>
  <si>
    <t>Amount</t>
  </si>
  <si>
    <t>Settle with the fewest payments: the biggest negative pays the biggest positive until one of them is at zero, then move to the next.</t>
  </si>
  <si>
    <t>Check (should be 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</si>
</sst>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$#,##0"/>
    <numFmt numFmtId="166" formatCode="$#,##0.00"/>
  </numFmts>
  <fonts count="6" x14ac:knownFonts="1">
    <font>
      <color theme="1"/>
      <family val="2"/>
      <scheme val="minor"/>
      <sz val="11"/>
      <name val="Calibri"/>
    </font>
    <font>
      <b/>
      <color rgb="FF0D6238"/>
      <sz val="16"/>
    </font>
    <font>
      <i/>
      <color rgb="FF5A655E"/>
    </font>
    <font>
      <b/>
      <color rgb="FFFFFFFF"/>
    </font>
    <font>
      <color rgb="FF1D4ED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5824B"/>
      </patternFill>
    </fill>
    <fill>
      <patternFill patternType="solid">
        <fgColor rgb="FFFFF8DC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Protection="1">
      <protection locked="0"/>
    </xf>
    <xf numFmtId="164" fontId="4" fillId="3" borderId="1" xfId="0" applyNumberFormat="1" applyFont="1" applyFill="1" applyBorder="1" applyProtection="1">
      <protection locked="0"/>
    </xf>
    <xf numFmtId="0" fontId="0" fillId="0" borderId="1" xfId="0" applyBorder="1"/>
    <xf numFmtId="9" fontId="4" fillId="3" borderId="1" xfId="0" applyNumberFormat="1" applyFont="1" applyFill="1" applyBorder="1" applyProtection="1">
      <protection locked="0"/>
    </xf>
    <xf numFmtId="164" fontId="0" fillId="0" borderId="1" xfId="0" applyNumberFormat="1" applyBorder="1"/>
    <xf numFmtId="0" fontId="5" fillId="0" borderId="0" xfId="0" applyFont="1"/>
    <xf numFmtId="165" fontId="4" fillId="3" borderId="1" xfId="0" applyNumberFormat="1" applyFont="1" applyFill="1" applyBorder="1" applyProtection="1">
      <protection locked="0"/>
    </xf>
    <xf numFmtId="165" fontId="0" fillId="0" borderId="1" xfId="0" applyNumberFormat="1" applyBorder="1"/>
    <xf numFmtId="166" fontId="0" fillId="0" borderId="1" xfId="0" applyNumberFormat="1" applyBorder="1"/>
    <xf numFmtId="166" fontId="4" fillId="3" borderId="1" xfId="0" applyNumberFormat="1" applyFon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2</v>
      </c>
    </row>
    <row r="7" spans="1:1" x14ac:dyDescent="0.25">
      <c r="A7" s="3" t="s">
        <v>4</v>
      </c>
    </row>
    <row r="8" spans="1:1" x14ac:dyDescent="0.25">
      <c r="A8" s="3" t="s">
        <v>5</v>
      </c>
    </row>
    <row r="9" spans="1:1" x14ac:dyDescent="0.25">
      <c r="A9" s="3" t="s">
        <v>6</v>
      </c>
    </row>
    <row r="10" spans="1:1" x14ac:dyDescent="0.25">
      <c r="A10" s="3" t="s">
        <v>7</v>
      </c>
    </row>
    <row r="11" spans="1:1" x14ac:dyDescent="0.25">
      <c r="A11" s="3" t="s">
        <v>8</v>
      </c>
    </row>
    <row r="12" spans="1:1" x14ac:dyDescent="0.25">
      <c r="A12" s="3" t="s">
        <v>9</v>
      </c>
    </row>
    <row r="13" spans="1:1" x14ac:dyDescent="0.25">
      <c r="A13" s="3" t="s">
        <v>10</v>
      </c>
    </row>
    <row r="14" spans="1:1" x14ac:dyDescent="0.25">
      <c r="A14" s="3" t="s">
        <v>2</v>
      </c>
    </row>
    <row r="15" spans="1:1" x14ac:dyDescent="0.25">
      <c r="A15" s="3" t="s">
        <v>11</v>
      </c>
    </row>
    <row r="16" spans="1:1" x14ac:dyDescent="0.25">
      <c r="A16" s="3" t="s">
        <v>2</v>
      </c>
    </row>
    <row r="17" spans="1:1" x14ac:dyDescent="0.25">
      <c r="A17" s="3" t="s">
        <v>12</v>
      </c>
    </row>
    <row r="18" spans="1:1" x14ac:dyDescent="0.25">
      <c r="A18" s="3" t="s">
        <v>2</v>
      </c>
    </row>
    <row r="19" spans="1:1" x14ac:dyDescent="0.25">
      <c r="A19" s="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22" customWidth="1"/>
    <col min="2" max="2" width="10" customWidth="1"/>
    <col min="3" max="3" width="16" customWidth="1"/>
    <col min="4" max="4" width="4" customWidth="1"/>
    <col min="5" max="5" width="22" customWidth="1"/>
    <col min="6" max="6" width="12" customWidth="1"/>
  </cols>
  <sheetData>
    <row r="1" spans="1:1" x14ac:dyDescent="0.25">
      <c r="A1" s="1" t="s">
        <v>14</v>
      </c>
    </row>
    <row r="2" spans="1:1" x14ac:dyDescent="0.25">
      <c r="A2" s="2" t="s">
        <v>15</v>
      </c>
    </row>
    <row r="4" spans="1:6" x14ac:dyDescent="0.25">
      <c r="A4" s="4" t="s">
        <v>16</v>
      </c>
      <c r="B4" s="4" t="s">
        <v>17</v>
      </c>
      <c r="C4" s="4" t="s">
        <v>18</v>
      </c>
      <c r="E4" s="4" t="s">
        <v>19</v>
      </c>
      <c r="F4" s="4" t="s">
        <v>20</v>
      </c>
    </row>
    <row r="5" spans="1:6" x14ac:dyDescent="0.25">
      <c r="A5" s="5" t="s">
        <v>21</v>
      </c>
      <c r="B5" s="5" t="s">
        <v>22</v>
      </c>
      <c r="C5" s="6">
        <v>4.2</v>
      </c>
      <c r="E5" s="7" t="s">
        <v>22</v>
      </c>
      <c r="F5" s="7">
        <f>COUNTIF($B$5:$B$16,"Red")</f>
      </c>
    </row>
    <row r="6" spans="1:6" x14ac:dyDescent="0.25">
      <c r="A6" s="5" t="s">
        <v>23</v>
      </c>
      <c r="B6" s="5" t="s">
        <v>22</v>
      </c>
      <c r="C6" s="6">
        <v>8.7</v>
      </c>
      <c r="E6" s="7" t="s">
        <v>24</v>
      </c>
      <c r="F6" s="7">
        <f>COUNTIF($B$5:$B$16,"Blue")</f>
      </c>
    </row>
    <row r="7" spans="1:3" x14ac:dyDescent="0.25">
      <c r="A7" s="5" t="s">
        <v>25</v>
      </c>
      <c r="B7" s="5" t="s">
        <v>22</v>
      </c>
      <c r="C7" s="6">
        <v>10.1</v>
      </c>
    </row>
    <row r="8" spans="1:3" x14ac:dyDescent="0.25">
      <c r="A8" s="5" t="s">
        <v>26</v>
      </c>
      <c r="B8" s="5" t="s">
        <v>22</v>
      </c>
      <c r="C8" s="6">
        <v>12.9</v>
      </c>
    </row>
    <row r="9" spans="1:3" x14ac:dyDescent="0.25">
      <c r="A9" s="5" t="s">
        <v>27</v>
      </c>
      <c r="B9" s="5" t="s">
        <v>22</v>
      </c>
      <c r="C9" s="6">
        <v>15.4</v>
      </c>
    </row>
    <row r="10" spans="1:3" x14ac:dyDescent="0.25">
      <c r="A10" s="5" t="s">
        <v>28</v>
      </c>
      <c r="B10" s="5" t="s">
        <v>22</v>
      </c>
      <c r="C10" s="6">
        <v>19.8</v>
      </c>
    </row>
    <row r="11" spans="1:3" x14ac:dyDescent="0.25">
      <c r="A11" s="5" t="s">
        <v>29</v>
      </c>
      <c r="B11" s="5" t="s">
        <v>24</v>
      </c>
      <c r="C11" s="6">
        <v>3.6</v>
      </c>
    </row>
    <row r="12" spans="1:3" x14ac:dyDescent="0.25">
      <c r="A12" s="5" t="s">
        <v>30</v>
      </c>
      <c r="B12" s="5" t="s">
        <v>24</v>
      </c>
      <c r="C12" s="6">
        <v>9.3</v>
      </c>
    </row>
    <row r="13" spans="1:3" x14ac:dyDescent="0.25">
      <c r="A13" s="5" t="s">
        <v>31</v>
      </c>
      <c r="B13" s="5" t="s">
        <v>24</v>
      </c>
      <c r="C13" s="6">
        <v>11</v>
      </c>
    </row>
    <row r="14" spans="1:3" x14ac:dyDescent="0.25">
      <c r="A14" s="5" t="s">
        <v>32</v>
      </c>
      <c r="B14" s="5" t="s">
        <v>24</v>
      </c>
      <c r="C14" s="6">
        <v>13.5</v>
      </c>
    </row>
    <row r="15" spans="1:3" x14ac:dyDescent="0.25">
      <c r="A15" s="5" t="s">
        <v>33</v>
      </c>
      <c r="B15" s="5" t="s">
        <v>24</v>
      </c>
      <c r="C15" s="6">
        <v>16.2</v>
      </c>
    </row>
    <row r="16" spans="1:3" x14ac:dyDescent="0.25">
      <c r="A16" s="5" t="s">
        <v>34</v>
      </c>
      <c r="B16" s="5" t="s">
        <v>24</v>
      </c>
      <c r="C16" s="6">
        <v>21.7</v>
      </c>
    </row>
  </sheetData>
  <sheetProtection sheet="1" formatColumns="0" formatRows="0"/>
  <dataValidations count="1">
    <dataValidation type="list" allowBlank="1" sqref="B5:B16">
      <formula1>"Red,Blue"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FormatPr defaultRowHeight="15" outlineLevelRow="0" outlineLevelCol="0" x14ac:dyDescent="55"/>
  <cols>
    <col min="1" max="1" width="22" customWidth="1"/>
    <col min="2" max="2" width="10" customWidth="1"/>
    <col min="3" max="9" width="12" customWidth="1"/>
  </cols>
  <sheetData>
    <row r="1" spans="1:1" x14ac:dyDescent="0.25">
      <c r="A1" s="1" t="s">
        <v>35</v>
      </c>
    </row>
    <row r="2" spans="1:1" x14ac:dyDescent="0.25">
      <c r="A2" s="2" t="s">
        <v>36</v>
      </c>
    </row>
    <row r="4" spans="1:4" x14ac:dyDescent="0.25">
      <c r="A4" s="4" t="s">
        <v>37</v>
      </c>
      <c r="B4" s="4" t="s">
        <v>38</v>
      </c>
      <c r="C4" s="4" t="s">
        <v>39</v>
      </c>
      <c r="D4" s="4" t="s">
        <v>40</v>
      </c>
    </row>
    <row r="5" spans="1:4" x14ac:dyDescent="0.25">
      <c r="A5" s="7" t="s">
        <v>41</v>
      </c>
      <c r="B5" s="5" t="s">
        <v>42</v>
      </c>
      <c r="C5" s="5" t="s">
        <v>43</v>
      </c>
      <c r="D5" s="5" t="s">
        <v>44</v>
      </c>
    </row>
    <row r="6" spans="1:4" x14ac:dyDescent="0.25">
      <c r="A6" s="7" t="s">
        <v>45</v>
      </c>
      <c r="B6" s="5" t="s">
        <v>46</v>
      </c>
      <c r="C6" s="5" t="s">
        <v>47</v>
      </c>
      <c r="D6" s="5" t="s">
        <v>48</v>
      </c>
    </row>
    <row r="7" spans="1:4" x14ac:dyDescent="0.25">
      <c r="A7" s="7" t="s">
        <v>49</v>
      </c>
      <c r="B7" s="6">
        <v>72.4</v>
      </c>
      <c r="C7" s="6">
        <v>71.1</v>
      </c>
      <c r="D7" s="6">
        <v>73</v>
      </c>
    </row>
    <row r="8" spans="1:4" x14ac:dyDescent="0.25">
      <c r="A8" s="7" t="s">
        <v>50</v>
      </c>
      <c r="B8" s="5">
        <v>131</v>
      </c>
      <c r="C8" s="5">
        <v>127</v>
      </c>
      <c r="D8" s="5">
        <v>135</v>
      </c>
    </row>
    <row r="9" spans="1:4" x14ac:dyDescent="0.25">
      <c r="A9" s="7" t="s">
        <v>51</v>
      </c>
      <c r="B9" s="5">
        <v>72</v>
      </c>
      <c r="C9" s="5">
        <v>71</v>
      </c>
      <c r="D9" s="5">
        <v>72</v>
      </c>
    </row>
    <row r="10" spans="1:4" x14ac:dyDescent="0.25">
      <c r="A10" s="7" t="s">
        <v>52</v>
      </c>
      <c r="B10" s="8">
        <v>0.9</v>
      </c>
      <c r="C10" s="8">
        <v>0.5</v>
      </c>
      <c r="D10" s="8">
        <v>1</v>
      </c>
    </row>
    <row r="12" spans="1:8" x14ac:dyDescent="0.25">
      <c r="A12" s="4" t="s">
        <v>16</v>
      </c>
      <c r="B12" s="4" t="s">
        <v>53</v>
      </c>
      <c r="C12" s="4" t="s">
        <v>54</v>
      </c>
      <c r="D12" s="4" t="s">
        <v>55</v>
      </c>
      <c r="E12" s="4" t="s">
        <v>56</v>
      </c>
      <c r="F12" s="4" t="s">
        <v>57</v>
      </c>
      <c r="G12" s="4" t="s">
        <v>58</v>
      </c>
      <c r="H12" s="4" t="s">
        <v>59</v>
      </c>
    </row>
    <row r="13" spans="1:8" x14ac:dyDescent="0.25">
      <c r="A13" s="7">
        <f>Roster!A5</f>
      </c>
      <c r="B13" s="9">
        <f>Roster!C5</f>
      </c>
      <c r="C13" s="7">
        <f>ROUND($B13*(B$8/113)+(B$7-B$9),0)</f>
      </c>
      <c r="D13" s="7">
        <f>ROUND(($B13*(B$8/113)+(B$7-B$9))*B$10,0)</f>
      </c>
      <c r="E13" s="7">
        <f>ROUND($B13*(C$8/113)+(C$7-C$9),0)</f>
      </c>
      <c r="F13" s="7">
        <f>ROUND(($B13*(C$8/113)+(C$7-C$9))*C$10,0)</f>
      </c>
      <c r="G13" s="7">
        <f>ROUND($B13*(D$8/113)+(D$7-D$9),0)</f>
      </c>
      <c r="H13" s="7">
        <f>ROUND(($B13*(D$8/113)+(D$7-D$9))*D$10,0)</f>
      </c>
    </row>
    <row r="14" spans="1:8" x14ac:dyDescent="0.25">
      <c r="A14" s="7">
        <f>Roster!A6</f>
      </c>
      <c r="B14" s="9">
        <f>Roster!C6</f>
      </c>
      <c r="C14" s="7">
        <f>ROUND($B14*(B$8/113)+(B$7-B$9),0)</f>
      </c>
      <c r="D14" s="7">
        <f>ROUND(($B14*(B$8/113)+(B$7-B$9))*B$10,0)</f>
      </c>
      <c r="E14" s="7">
        <f>ROUND($B14*(C$8/113)+(C$7-C$9),0)</f>
      </c>
      <c r="F14" s="7">
        <f>ROUND(($B14*(C$8/113)+(C$7-C$9))*C$10,0)</f>
      </c>
      <c r="G14" s="7">
        <f>ROUND($B14*(D$8/113)+(D$7-D$9),0)</f>
      </c>
      <c r="H14" s="7">
        <f>ROUND(($B14*(D$8/113)+(D$7-D$9))*D$10,0)</f>
      </c>
    </row>
    <row r="15" spans="1:8" x14ac:dyDescent="0.25">
      <c r="A15" s="7">
        <f>Roster!A7</f>
      </c>
      <c r="B15" s="9">
        <f>Roster!C7</f>
      </c>
      <c r="C15" s="7">
        <f>ROUND($B15*(B$8/113)+(B$7-B$9),0)</f>
      </c>
      <c r="D15" s="7">
        <f>ROUND(($B15*(B$8/113)+(B$7-B$9))*B$10,0)</f>
      </c>
      <c r="E15" s="7">
        <f>ROUND($B15*(C$8/113)+(C$7-C$9),0)</f>
      </c>
      <c r="F15" s="7">
        <f>ROUND(($B15*(C$8/113)+(C$7-C$9))*C$10,0)</f>
      </c>
      <c r="G15" s="7">
        <f>ROUND($B15*(D$8/113)+(D$7-D$9),0)</f>
      </c>
      <c r="H15" s="7">
        <f>ROUND(($B15*(D$8/113)+(D$7-D$9))*D$10,0)</f>
      </c>
    </row>
    <row r="16" spans="1:8" x14ac:dyDescent="0.25">
      <c r="A16" s="7">
        <f>Roster!A8</f>
      </c>
      <c r="B16" s="9">
        <f>Roster!C8</f>
      </c>
      <c r="C16" s="7">
        <f>ROUND($B16*(B$8/113)+(B$7-B$9),0)</f>
      </c>
      <c r="D16" s="7">
        <f>ROUND(($B16*(B$8/113)+(B$7-B$9))*B$10,0)</f>
      </c>
      <c r="E16" s="7">
        <f>ROUND($B16*(C$8/113)+(C$7-C$9),0)</f>
      </c>
      <c r="F16" s="7">
        <f>ROUND(($B16*(C$8/113)+(C$7-C$9))*C$10,0)</f>
      </c>
      <c r="G16" s="7">
        <f>ROUND($B16*(D$8/113)+(D$7-D$9),0)</f>
      </c>
      <c r="H16" s="7">
        <f>ROUND(($B16*(D$8/113)+(D$7-D$9))*D$10,0)</f>
      </c>
    </row>
    <row r="17" spans="1:8" x14ac:dyDescent="0.25">
      <c r="A17" s="7">
        <f>Roster!A9</f>
      </c>
      <c r="B17" s="9">
        <f>Roster!C9</f>
      </c>
      <c r="C17" s="7">
        <f>ROUND($B17*(B$8/113)+(B$7-B$9),0)</f>
      </c>
      <c r="D17" s="7">
        <f>ROUND(($B17*(B$8/113)+(B$7-B$9))*B$10,0)</f>
      </c>
      <c r="E17" s="7">
        <f>ROUND($B17*(C$8/113)+(C$7-C$9),0)</f>
      </c>
      <c r="F17" s="7">
        <f>ROUND(($B17*(C$8/113)+(C$7-C$9))*C$10,0)</f>
      </c>
      <c r="G17" s="7">
        <f>ROUND($B17*(D$8/113)+(D$7-D$9),0)</f>
      </c>
      <c r="H17" s="7">
        <f>ROUND(($B17*(D$8/113)+(D$7-D$9))*D$10,0)</f>
      </c>
    </row>
    <row r="18" spans="1:8" x14ac:dyDescent="0.25">
      <c r="A18" s="7">
        <f>Roster!A10</f>
      </c>
      <c r="B18" s="9">
        <f>Roster!C10</f>
      </c>
      <c r="C18" s="7">
        <f>ROUND($B18*(B$8/113)+(B$7-B$9),0)</f>
      </c>
      <c r="D18" s="7">
        <f>ROUND(($B18*(B$8/113)+(B$7-B$9))*B$10,0)</f>
      </c>
      <c r="E18" s="7">
        <f>ROUND($B18*(C$8/113)+(C$7-C$9),0)</f>
      </c>
      <c r="F18" s="7">
        <f>ROUND(($B18*(C$8/113)+(C$7-C$9))*C$10,0)</f>
      </c>
      <c r="G18" s="7">
        <f>ROUND($B18*(D$8/113)+(D$7-D$9),0)</f>
      </c>
      <c r="H18" s="7">
        <f>ROUND(($B18*(D$8/113)+(D$7-D$9))*D$10,0)</f>
      </c>
    </row>
    <row r="19" spans="1:8" x14ac:dyDescent="0.25">
      <c r="A19" s="7">
        <f>Roster!A11</f>
      </c>
      <c r="B19" s="9">
        <f>Roster!C11</f>
      </c>
      <c r="C19" s="7">
        <f>ROUND($B19*(B$8/113)+(B$7-B$9),0)</f>
      </c>
      <c r="D19" s="7">
        <f>ROUND(($B19*(B$8/113)+(B$7-B$9))*B$10,0)</f>
      </c>
      <c r="E19" s="7">
        <f>ROUND($B19*(C$8/113)+(C$7-C$9),0)</f>
      </c>
      <c r="F19" s="7">
        <f>ROUND(($B19*(C$8/113)+(C$7-C$9))*C$10,0)</f>
      </c>
      <c r="G19" s="7">
        <f>ROUND($B19*(D$8/113)+(D$7-D$9),0)</f>
      </c>
      <c r="H19" s="7">
        <f>ROUND(($B19*(D$8/113)+(D$7-D$9))*D$10,0)</f>
      </c>
    </row>
    <row r="20" spans="1:8" x14ac:dyDescent="0.25">
      <c r="A20" s="7">
        <f>Roster!A12</f>
      </c>
      <c r="B20" s="9">
        <f>Roster!C12</f>
      </c>
      <c r="C20" s="7">
        <f>ROUND($B20*(B$8/113)+(B$7-B$9),0)</f>
      </c>
      <c r="D20" s="7">
        <f>ROUND(($B20*(B$8/113)+(B$7-B$9))*B$10,0)</f>
      </c>
      <c r="E20" s="7">
        <f>ROUND($B20*(C$8/113)+(C$7-C$9),0)</f>
      </c>
      <c r="F20" s="7">
        <f>ROUND(($B20*(C$8/113)+(C$7-C$9))*C$10,0)</f>
      </c>
      <c r="G20" s="7">
        <f>ROUND($B20*(D$8/113)+(D$7-D$9),0)</f>
      </c>
      <c r="H20" s="7">
        <f>ROUND(($B20*(D$8/113)+(D$7-D$9))*D$10,0)</f>
      </c>
    </row>
    <row r="21" spans="1:8" x14ac:dyDescent="0.25">
      <c r="A21" s="7">
        <f>Roster!A13</f>
      </c>
      <c r="B21" s="9">
        <f>Roster!C13</f>
      </c>
      <c r="C21" s="7">
        <f>ROUND($B21*(B$8/113)+(B$7-B$9),0)</f>
      </c>
      <c r="D21" s="7">
        <f>ROUND(($B21*(B$8/113)+(B$7-B$9))*B$10,0)</f>
      </c>
      <c r="E21" s="7">
        <f>ROUND($B21*(C$8/113)+(C$7-C$9),0)</f>
      </c>
      <c r="F21" s="7">
        <f>ROUND(($B21*(C$8/113)+(C$7-C$9))*C$10,0)</f>
      </c>
      <c r="G21" s="7">
        <f>ROUND($B21*(D$8/113)+(D$7-D$9),0)</f>
      </c>
      <c r="H21" s="7">
        <f>ROUND(($B21*(D$8/113)+(D$7-D$9))*D$10,0)</f>
      </c>
    </row>
    <row r="22" spans="1:8" x14ac:dyDescent="0.25">
      <c r="A22" s="7">
        <f>Roster!A14</f>
      </c>
      <c r="B22" s="9">
        <f>Roster!C14</f>
      </c>
      <c r="C22" s="7">
        <f>ROUND($B22*(B$8/113)+(B$7-B$9),0)</f>
      </c>
      <c r="D22" s="7">
        <f>ROUND(($B22*(B$8/113)+(B$7-B$9))*B$10,0)</f>
      </c>
      <c r="E22" s="7">
        <f>ROUND($B22*(C$8/113)+(C$7-C$9),0)</f>
      </c>
      <c r="F22" s="7">
        <f>ROUND(($B22*(C$8/113)+(C$7-C$9))*C$10,0)</f>
      </c>
      <c r="G22" s="7">
        <f>ROUND($B22*(D$8/113)+(D$7-D$9),0)</f>
      </c>
      <c r="H22" s="7">
        <f>ROUND(($B22*(D$8/113)+(D$7-D$9))*D$10,0)</f>
      </c>
    </row>
    <row r="23" spans="1:8" x14ac:dyDescent="0.25">
      <c r="A23" s="7">
        <f>Roster!A15</f>
      </c>
      <c r="B23" s="9">
        <f>Roster!C15</f>
      </c>
      <c r="C23" s="7">
        <f>ROUND($B23*(B$8/113)+(B$7-B$9),0)</f>
      </c>
      <c r="D23" s="7">
        <f>ROUND(($B23*(B$8/113)+(B$7-B$9))*B$10,0)</f>
      </c>
      <c r="E23" s="7">
        <f>ROUND($B23*(C$8/113)+(C$7-C$9),0)</f>
      </c>
      <c r="F23" s="7">
        <f>ROUND(($B23*(C$8/113)+(C$7-C$9))*C$10,0)</f>
      </c>
      <c r="G23" s="7">
        <f>ROUND($B23*(D$8/113)+(D$7-D$9),0)</f>
      </c>
      <c r="H23" s="7">
        <f>ROUND(($B23*(D$8/113)+(D$7-D$9))*D$10,0)</f>
      </c>
    </row>
    <row r="24" spans="1:8" x14ac:dyDescent="0.25">
      <c r="A24" s="7">
        <f>Roster!A16</f>
      </c>
      <c r="B24" s="9">
        <f>Roster!C16</f>
      </c>
      <c r="C24" s="7">
        <f>ROUND($B24*(B$8/113)+(B$7-B$9),0)</f>
      </c>
      <c r="D24" s="7">
        <f>ROUND(($B24*(B$8/113)+(B$7-B$9))*B$10,0)</f>
      </c>
      <c r="E24" s="7">
        <f>ROUND($B24*(C$8/113)+(C$7-C$9),0)</f>
      </c>
      <c r="F24" s="7">
        <f>ROUND(($B24*(C$8/113)+(C$7-C$9))*C$10,0)</f>
      </c>
      <c r="G24" s="7">
        <f>ROUND($B24*(D$8/113)+(D$7-D$9),0)</f>
      </c>
      <c r="H24" s="7">
        <f>ROUND(($B24*(D$8/113)+(D$7-D$9))*D$10,0)</f>
      </c>
    </row>
  </sheetData>
  <sheetProtection sheet="1" formatColumns="0" formatRows="0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FormatPr defaultRowHeight="15" outlineLevelRow="0" outlineLevelCol="0" x14ac:dyDescent="55"/>
  <cols>
    <col min="1" max="1" width="8" customWidth="1"/>
    <col min="2" max="3" width="20" customWidth="1"/>
    <col min="4" max="4" width="10" customWidth="1"/>
    <col min="5" max="6" width="20" customWidth="1"/>
    <col min="7" max="7" width="10" customWidth="1"/>
    <col min="8" max="8" width="12" customWidth="1"/>
    <col min="9" max="10" width="10" customWidth="1"/>
  </cols>
  <sheetData>
    <row r="1" spans="1:1" x14ac:dyDescent="0.25">
      <c r="A1" s="1" t="s">
        <v>60</v>
      </c>
    </row>
    <row r="2" spans="1:1" x14ac:dyDescent="0.25">
      <c r="A2" s="2" t="s">
        <v>61</v>
      </c>
    </row>
    <row r="4" spans="1:10" x14ac:dyDescent="0.25">
      <c r="A4" s="4" t="s">
        <v>62</v>
      </c>
      <c r="B4" s="4" t="s">
        <v>63</v>
      </c>
      <c r="C4" s="4" t="s">
        <v>64</v>
      </c>
      <c r="D4" s="4" t="s">
        <v>65</v>
      </c>
      <c r="E4" s="4" t="s">
        <v>66</v>
      </c>
      <c r="F4" s="4" t="s">
        <v>67</v>
      </c>
      <c r="G4" s="4" t="s">
        <v>68</v>
      </c>
      <c r="H4" s="4" t="s">
        <v>69</v>
      </c>
      <c r="I4" s="4" t="s">
        <v>70</v>
      </c>
      <c r="J4" s="4" t="s">
        <v>71</v>
      </c>
    </row>
    <row r="5" spans="1:10" x14ac:dyDescent="0.25">
      <c r="A5" s="7">
        <v>1</v>
      </c>
      <c r="B5" s="5" t="s">
        <v>21</v>
      </c>
      <c r="C5" s="5" t="s">
        <v>23</v>
      </c>
      <c r="D5" s="7">
        <f>MIN(IFERROR(INDEX('Course handicaps'!$D$13:$D$24,MATCH(B5,'Course handicaps'!$A$13:$A$24,0)),0),IFERROR(INDEX('Course handicaps'!$D$13:$D$24,MATCH(C5,'Course handicaps'!$A$13:$A$24,0)),0))</f>
      </c>
      <c r="E5" s="5" t="s">
        <v>29</v>
      </c>
      <c r="F5" s="5" t="s">
        <v>30</v>
      </c>
      <c r="G5" s="7">
        <f>MIN(IFERROR(INDEX('Course handicaps'!$D$13:$D$24,MATCH(E5,'Course handicaps'!$A$13:$A$24,0)),0),IFERROR(INDEX('Course handicaps'!$D$13:$D$24,MATCH(F5,'Course handicaps'!$A$13:$A$24,0)),0))</f>
      </c>
      <c r="H5" s="5" t="s">
        <v>22</v>
      </c>
      <c r="I5" s="9">
        <f>IF(H5="Red",1,IF(H5="Halved",0.5,0))</f>
      </c>
      <c r="J5" s="9">
        <f>IF(H5="Blue",1,IF(H5="Halved",0.5,0))</f>
      </c>
    </row>
    <row r="6" spans="1:10" x14ac:dyDescent="0.25">
      <c r="A6" s="7">
        <v>2</v>
      </c>
      <c r="B6" s="5" t="s">
        <v>25</v>
      </c>
      <c r="C6" s="5" t="s">
        <v>26</v>
      </c>
      <c r="D6" s="7">
        <f>MIN(IFERROR(INDEX('Course handicaps'!$D$13:$D$24,MATCH(B6,'Course handicaps'!$A$13:$A$24,0)),0),IFERROR(INDEX('Course handicaps'!$D$13:$D$24,MATCH(C6,'Course handicaps'!$A$13:$A$24,0)),0))</f>
      </c>
      <c r="E6" s="5" t="s">
        <v>31</v>
      </c>
      <c r="F6" s="5" t="s">
        <v>32</v>
      </c>
      <c r="G6" s="7">
        <f>MIN(IFERROR(INDEX('Course handicaps'!$D$13:$D$24,MATCH(E6,'Course handicaps'!$A$13:$A$24,0)),0),IFERROR(INDEX('Course handicaps'!$D$13:$D$24,MATCH(F6,'Course handicaps'!$A$13:$A$24,0)),0))</f>
      </c>
      <c r="H6" s="5" t="s">
        <v>72</v>
      </c>
      <c r="I6" s="9">
        <f>IF(H6="Red",1,IF(H6="Halved",0.5,0))</f>
      </c>
      <c r="J6" s="9">
        <f>IF(H6="Blue",1,IF(H6="Halved",0.5,0))</f>
      </c>
    </row>
    <row r="7" spans="1:10" x14ac:dyDescent="0.25">
      <c r="A7" s="7">
        <v>3</v>
      </c>
      <c r="B7" s="5" t="s">
        <v>27</v>
      </c>
      <c r="C7" s="5" t="s">
        <v>28</v>
      </c>
      <c r="D7" s="7">
        <f>MIN(IFERROR(INDEX('Course handicaps'!$D$13:$D$24,MATCH(B7,'Course handicaps'!$A$13:$A$24,0)),0),IFERROR(INDEX('Course handicaps'!$D$13:$D$24,MATCH(C7,'Course handicaps'!$A$13:$A$24,0)),0))</f>
      </c>
      <c r="E7" s="5" t="s">
        <v>33</v>
      </c>
      <c r="F7" s="5" t="s">
        <v>34</v>
      </c>
      <c r="G7" s="7">
        <f>MIN(IFERROR(INDEX('Course handicaps'!$D$13:$D$24,MATCH(E7,'Course handicaps'!$A$13:$A$24,0)),0),IFERROR(INDEX('Course handicaps'!$D$13:$D$24,MATCH(F7,'Course handicaps'!$A$13:$A$24,0)),0))</f>
      </c>
      <c r="H7" s="5" t="s">
        <v>24</v>
      </c>
      <c r="I7" s="9">
        <f>IF(H7="Red",1,IF(H7="Halved",0.5,0))</f>
      </c>
      <c r="J7" s="9">
        <f>IF(H7="Blue",1,IF(H7="Halved",0.5,0))</f>
      </c>
    </row>
    <row r="9" spans="8:10" x14ac:dyDescent="0.25">
      <c r="H9" s="10" t="s">
        <v>73</v>
      </c>
      <c r="I9" s="9">
        <f>SUM(I5:I7)</f>
      </c>
      <c r="J9" s="9">
        <f>SUM(J5:J7)</f>
      </c>
    </row>
    <row r="11" spans="1:1" x14ac:dyDescent="0.25">
      <c r="A11" s="2" t="s">
        <v>74</v>
      </c>
    </row>
  </sheetData>
  <sheetProtection sheet="1" formatColumns="0" formatRows="0"/>
  <dataValidations count="3">
    <dataValidation type="list" allowBlank="1" sqref="B5:C7">
      <formula1>=Roster!$A$5:$A$16</formula1>
    </dataValidation>
    <dataValidation type="list" allowBlank="1" sqref="E5:F7">
      <formula1>=Roster!$A$5:$A$16</formula1>
    </dataValidation>
    <dataValidation type="list" allowBlank="1" sqref="H5:H7">
      <formula1>"Red,Blue,Halved"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FormatPr defaultRowHeight="15" outlineLevelRow="0" outlineLevelCol="0" x14ac:dyDescent="55"/>
  <cols>
    <col min="1" max="1" width="8" customWidth="1"/>
    <col min="2" max="3" width="20" customWidth="1"/>
    <col min="4" max="4" width="10" customWidth="1"/>
    <col min="5" max="6" width="20" customWidth="1"/>
    <col min="7" max="7" width="10" customWidth="1"/>
    <col min="8" max="8" width="12" customWidth="1"/>
    <col min="9" max="10" width="10" customWidth="1"/>
  </cols>
  <sheetData>
    <row r="1" spans="1:1" x14ac:dyDescent="0.25">
      <c r="A1" s="1" t="s">
        <v>75</v>
      </c>
    </row>
    <row r="2" spans="1:1" x14ac:dyDescent="0.25">
      <c r="A2" s="2" t="s">
        <v>61</v>
      </c>
    </row>
    <row r="4" spans="1:10" x14ac:dyDescent="0.25">
      <c r="A4" s="4" t="s">
        <v>62</v>
      </c>
      <c r="B4" s="4" t="s">
        <v>63</v>
      </c>
      <c r="C4" s="4" t="s">
        <v>64</v>
      </c>
      <c r="D4" s="4" t="s">
        <v>65</v>
      </c>
      <c r="E4" s="4" t="s">
        <v>66</v>
      </c>
      <c r="F4" s="4" t="s">
        <v>67</v>
      </c>
      <c r="G4" s="4" t="s">
        <v>68</v>
      </c>
      <c r="H4" s="4" t="s">
        <v>69</v>
      </c>
      <c r="I4" s="4" t="s">
        <v>70</v>
      </c>
      <c r="J4" s="4" t="s">
        <v>71</v>
      </c>
    </row>
    <row r="5" spans="1:10" x14ac:dyDescent="0.25">
      <c r="A5" s="7">
        <v>1</v>
      </c>
      <c r="B5" s="5" t="s">
        <v>21</v>
      </c>
      <c r="C5" s="5" t="s">
        <v>23</v>
      </c>
      <c r="D5" s="7">
        <f>IFERROR(INDEX('Course handicaps'!$F$13:$F$24,MATCH(B5,'Course handicaps'!$A$13:$A$24,0)),0)+IFERROR(INDEX('Course handicaps'!$F$13:$F$24,MATCH(C5,'Course handicaps'!$A$13:$A$24,0)),0)</f>
      </c>
      <c r="E5" s="5" t="s">
        <v>29</v>
      </c>
      <c r="F5" s="5" t="s">
        <v>30</v>
      </c>
      <c r="G5" s="7">
        <f>IFERROR(INDEX('Course handicaps'!$F$13:$F$24,MATCH(E5,'Course handicaps'!$A$13:$A$24,0)),0)+IFERROR(INDEX('Course handicaps'!$F$13:$F$24,MATCH(F5,'Course handicaps'!$A$13:$A$24,0)),0)</f>
      </c>
      <c r="H5" s="5" t="s">
        <v>2</v>
      </c>
      <c r="I5" s="9">
        <f>IF(H5="Red",1,IF(H5="Halved",0.5,0))</f>
      </c>
      <c r="J5" s="9">
        <f>IF(H5="Blue",1,IF(H5="Halved",0.5,0))</f>
      </c>
    </row>
    <row r="6" spans="1:10" x14ac:dyDescent="0.25">
      <c r="A6" s="7">
        <v>2</v>
      </c>
      <c r="B6" s="5" t="s">
        <v>25</v>
      </c>
      <c r="C6" s="5" t="s">
        <v>26</v>
      </c>
      <c r="D6" s="7">
        <f>IFERROR(INDEX('Course handicaps'!$F$13:$F$24,MATCH(B6,'Course handicaps'!$A$13:$A$24,0)),0)+IFERROR(INDEX('Course handicaps'!$F$13:$F$24,MATCH(C6,'Course handicaps'!$A$13:$A$24,0)),0)</f>
      </c>
      <c r="E6" s="5" t="s">
        <v>31</v>
      </c>
      <c r="F6" s="5" t="s">
        <v>32</v>
      </c>
      <c r="G6" s="7">
        <f>IFERROR(INDEX('Course handicaps'!$F$13:$F$24,MATCH(E6,'Course handicaps'!$A$13:$A$24,0)),0)+IFERROR(INDEX('Course handicaps'!$F$13:$F$24,MATCH(F6,'Course handicaps'!$A$13:$A$24,0)),0)</f>
      </c>
      <c r="H6" s="5" t="s">
        <v>2</v>
      </c>
      <c r="I6" s="9">
        <f>IF(H6="Red",1,IF(H6="Halved",0.5,0))</f>
      </c>
      <c r="J6" s="9">
        <f>IF(H6="Blue",1,IF(H6="Halved",0.5,0))</f>
      </c>
    </row>
    <row r="7" spans="1:10" x14ac:dyDescent="0.25">
      <c r="A7" s="7">
        <v>3</v>
      </c>
      <c r="B7" s="5" t="s">
        <v>27</v>
      </c>
      <c r="C7" s="5" t="s">
        <v>28</v>
      </c>
      <c r="D7" s="7">
        <f>IFERROR(INDEX('Course handicaps'!$F$13:$F$24,MATCH(B7,'Course handicaps'!$A$13:$A$24,0)),0)+IFERROR(INDEX('Course handicaps'!$F$13:$F$24,MATCH(C7,'Course handicaps'!$A$13:$A$24,0)),0)</f>
      </c>
      <c r="E7" s="5" t="s">
        <v>33</v>
      </c>
      <c r="F7" s="5" t="s">
        <v>34</v>
      </c>
      <c r="G7" s="7">
        <f>IFERROR(INDEX('Course handicaps'!$F$13:$F$24,MATCH(E7,'Course handicaps'!$A$13:$A$24,0)),0)+IFERROR(INDEX('Course handicaps'!$F$13:$F$24,MATCH(F7,'Course handicaps'!$A$13:$A$24,0)),0)</f>
      </c>
      <c r="H7" s="5" t="s">
        <v>2</v>
      </c>
      <c r="I7" s="9">
        <f>IF(H7="Red",1,IF(H7="Halved",0.5,0))</f>
      </c>
      <c r="J7" s="9">
        <f>IF(H7="Blue",1,IF(H7="Halved",0.5,0))</f>
      </c>
    </row>
    <row r="9" spans="8:10" x14ac:dyDescent="0.25">
      <c r="H9" s="10" t="s">
        <v>73</v>
      </c>
      <c r="I9" s="9">
        <f>SUM(I5:I7)</f>
      </c>
      <c r="J9" s="9">
        <f>SUM(J5:J7)</f>
      </c>
    </row>
    <row r="11" spans="1:1" x14ac:dyDescent="0.25">
      <c r="A11" s="2" t="s">
        <v>76</v>
      </c>
    </row>
  </sheetData>
  <sheetProtection sheet="1" formatColumns="0" formatRows="0"/>
  <dataValidations count="3">
    <dataValidation type="list" allowBlank="1" sqref="B5:C7">
      <formula1>=Roster!$A$5:$A$16</formula1>
    </dataValidation>
    <dataValidation type="list" allowBlank="1" sqref="E5:F7">
      <formula1>=Roster!$A$5:$A$16</formula1>
    </dataValidation>
    <dataValidation type="list" allowBlank="1" sqref="H5:H7">
      <formula1>"Red,Blue,Halved"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FormatPr defaultRowHeight="15" outlineLevelRow="0" outlineLevelCol="0" x14ac:dyDescent="55"/>
  <cols>
    <col min="1" max="1" width="8" customWidth="1"/>
    <col min="2" max="3" width="20" customWidth="1"/>
    <col min="4" max="4" width="10" customWidth="1"/>
    <col min="5" max="6" width="20" customWidth="1"/>
    <col min="7" max="7" width="10" customWidth="1"/>
    <col min="8" max="8" width="12" customWidth="1"/>
    <col min="9" max="10" width="10" customWidth="1"/>
  </cols>
  <sheetData>
    <row r="1" spans="1:1" x14ac:dyDescent="0.25">
      <c r="A1" s="1" t="s">
        <v>77</v>
      </c>
    </row>
    <row r="2" spans="1:1" x14ac:dyDescent="0.25">
      <c r="A2" s="2" t="s">
        <v>78</v>
      </c>
    </row>
    <row r="4" spans="1:10" x14ac:dyDescent="0.25">
      <c r="A4" s="4" t="s">
        <v>62</v>
      </c>
      <c r="B4" s="4" t="s">
        <v>63</v>
      </c>
      <c r="C4" s="4" t="s">
        <v>64</v>
      </c>
      <c r="D4" s="4" t="s">
        <v>65</v>
      </c>
      <c r="E4" s="4" t="s">
        <v>66</v>
      </c>
      <c r="F4" s="4" t="s">
        <v>67</v>
      </c>
      <c r="G4" s="4" t="s">
        <v>68</v>
      </c>
      <c r="H4" s="4" t="s">
        <v>69</v>
      </c>
      <c r="I4" s="4" t="s">
        <v>70</v>
      </c>
      <c r="J4" s="4" t="s">
        <v>71</v>
      </c>
    </row>
    <row r="5" spans="1:10" x14ac:dyDescent="0.25">
      <c r="A5" s="7">
        <v>1</v>
      </c>
      <c r="B5" s="5" t="s">
        <v>21</v>
      </c>
      <c r="C5" s="5" t="s">
        <v>2</v>
      </c>
      <c r="D5" s="7">
        <f>IFERROR(INDEX('Course handicaps'!$H$13:$H$24,MATCH(B5,'Course handicaps'!$A$13:$A$24,0)),0)</f>
      </c>
      <c r="E5" s="5" t="s">
        <v>29</v>
      </c>
      <c r="F5" s="5" t="s">
        <v>2</v>
      </c>
      <c r="G5" s="7">
        <f>IFERROR(INDEX('Course handicaps'!$H$13:$H$24,MATCH(E5,'Course handicaps'!$A$13:$A$24,0)),0)</f>
      </c>
      <c r="H5" s="5" t="s">
        <v>2</v>
      </c>
      <c r="I5" s="9">
        <f>IF(H5="Red",1,IF(H5="Halved",0.5,0))</f>
      </c>
      <c r="J5" s="9">
        <f>IF(H5="Blue",1,IF(H5="Halved",0.5,0))</f>
      </c>
    </row>
    <row r="6" spans="1:10" x14ac:dyDescent="0.25">
      <c r="A6" s="7">
        <v>2</v>
      </c>
      <c r="B6" s="5" t="s">
        <v>23</v>
      </c>
      <c r="C6" s="5" t="s">
        <v>2</v>
      </c>
      <c r="D6" s="7">
        <f>IFERROR(INDEX('Course handicaps'!$H$13:$H$24,MATCH(B6,'Course handicaps'!$A$13:$A$24,0)),0)</f>
      </c>
      <c r="E6" s="5" t="s">
        <v>30</v>
      </c>
      <c r="F6" s="5" t="s">
        <v>2</v>
      </c>
      <c r="G6" s="7">
        <f>IFERROR(INDEX('Course handicaps'!$H$13:$H$24,MATCH(E6,'Course handicaps'!$A$13:$A$24,0)),0)</f>
      </c>
      <c r="H6" s="5" t="s">
        <v>2</v>
      </c>
      <c r="I6" s="9">
        <f>IF(H6="Red",1,IF(H6="Halved",0.5,0))</f>
      </c>
      <c r="J6" s="9">
        <f>IF(H6="Blue",1,IF(H6="Halved",0.5,0))</f>
      </c>
    </row>
    <row r="7" spans="1:10" x14ac:dyDescent="0.25">
      <c r="A7" s="7">
        <v>3</v>
      </c>
      <c r="B7" s="5" t="s">
        <v>25</v>
      </c>
      <c r="C7" s="5" t="s">
        <v>2</v>
      </c>
      <c r="D7" s="7">
        <f>IFERROR(INDEX('Course handicaps'!$H$13:$H$24,MATCH(B7,'Course handicaps'!$A$13:$A$24,0)),0)</f>
      </c>
      <c r="E7" s="5" t="s">
        <v>31</v>
      </c>
      <c r="F7" s="5" t="s">
        <v>2</v>
      </c>
      <c r="G7" s="7">
        <f>IFERROR(INDEX('Course handicaps'!$H$13:$H$24,MATCH(E7,'Course handicaps'!$A$13:$A$24,0)),0)</f>
      </c>
      <c r="H7" s="5" t="s">
        <v>2</v>
      </c>
      <c r="I7" s="9">
        <f>IF(H7="Red",1,IF(H7="Halved",0.5,0))</f>
      </c>
      <c r="J7" s="9">
        <f>IF(H7="Blue",1,IF(H7="Halved",0.5,0))</f>
      </c>
    </row>
    <row r="8" spans="1:10" x14ac:dyDescent="0.25">
      <c r="A8" s="7">
        <v>4</v>
      </c>
      <c r="B8" s="5" t="s">
        <v>26</v>
      </c>
      <c r="C8" s="5" t="s">
        <v>2</v>
      </c>
      <c r="D8" s="7">
        <f>IFERROR(INDEX('Course handicaps'!$H$13:$H$24,MATCH(B8,'Course handicaps'!$A$13:$A$24,0)),0)</f>
      </c>
      <c r="E8" s="5" t="s">
        <v>32</v>
      </c>
      <c r="F8" s="5" t="s">
        <v>2</v>
      </c>
      <c r="G8" s="7">
        <f>IFERROR(INDEX('Course handicaps'!$H$13:$H$24,MATCH(E8,'Course handicaps'!$A$13:$A$24,0)),0)</f>
      </c>
      <c r="H8" s="5" t="s">
        <v>2</v>
      </c>
      <c r="I8" s="9">
        <f>IF(H8="Red",1,IF(H8="Halved",0.5,0))</f>
      </c>
      <c r="J8" s="9">
        <f>IF(H8="Blue",1,IF(H8="Halved",0.5,0))</f>
      </c>
    </row>
    <row r="9" spans="1:10" x14ac:dyDescent="0.25">
      <c r="A9" s="7">
        <v>5</v>
      </c>
      <c r="B9" s="5" t="s">
        <v>27</v>
      </c>
      <c r="C9" s="5" t="s">
        <v>2</v>
      </c>
      <c r="D9" s="7">
        <f>IFERROR(INDEX('Course handicaps'!$H$13:$H$24,MATCH(B9,'Course handicaps'!$A$13:$A$24,0)),0)</f>
      </c>
      <c r="E9" s="5" t="s">
        <v>33</v>
      </c>
      <c r="F9" s="5" t="s">
        <v>2</v>
      </c>
      <c r="G9" s="7">
        <f>IFERROR(INDEX('Course handicaps'!$H$13:$H$24,MATCH(E9,'Course handicaps'!$A$13:$A$24,0)),0)</f>
      </c>
      <c r="H9" s="5" t="s">
        <v>2</v>
      </c>
      <c r="I9" s="9">
        <f>IF(H9="Red",1,IF(H9="Halved",0.5,0))</f>
      </c>
      <c r="J9" s="9">
        <f>IF(H9="Blue",1,IF(H9="Halved",0.5,0))</f>
      </c>
    </row>
    <row r="10" spans="1:10" x14ac:dyDescent="0.25">
      <c r="A10" s="7">
        <v>6</v>
      </c>
      <c r="B10" s="5" t="s">
        <v>28</v>
      </c>
      <c r="C10" s="5" t="s">
        <v>2</v>
      </c>
      <c r="D10" s="7">
        <f>IFERROR(INDEX('Course handicaps'!$H$13:$H$24,MATCH(B10,'Course handicaps'!$A$13:$A$24,0)),0)</f>
      </c>
      <c r="E10" s="5" t="s">
        <v>34</v>
      </c>
      <c r="F10" s="5" t="s">
        <v>2</v>
      </c>
      <c r="G10" s="7">
        <f>IFERROR(INDEX('Course handicaps'!$H$13:$H$24,MATCH(E10,'Course handicaps'!$A$13:$A$24,0)),0)</f>
      </c>
      <c r="H10" s="5" t="s">
        <v>2</v>
      </c>
      <c r="I10" s="9">
        <f>IF(H10="Red",1,IF(H10="Halved",0.5,0))</f>
      </c>
      <c r="J10" s="9">
        <f>IF(H10="Blue",1,IF(H10="Halved",0.5,0))</f>
      </c>
    </row>
    <row r="12" spans="8:10" x14ac:dyDescent="0.25">
      <c r="H12" s="10" t="s">
        <v>73</v>
      </c>
      <c r="I12" s="9">
        <f>SUM(I5:I10)</f>
      </c>
      <c r="J12" s="9">
        <f>SUM(J5:J10)</f>
      </c>
    </row>
    <row r="14" spans="1:1" x14ac:dyDescent="0.25">
      <c r="A14" s="2" t="s">
        <v>79</v>
      </c>
    </row>
  </sheetData>
  <sheetProtection sheet="1" formatColumns="0" formatRows="0"/>
  <dataValidations count="3">
    <dataValidation type="list" allowBlank="1" sqref="B5:C10">
      <formula1>=Roster!$A$5:$A$16</formula1>
    </dataValidation>
    <dataValidation type="list" allowBlank="1" sqref="E5:F10">
      <formula1>=Roster!$A$5:$A$16</formula1>
    </dataValidation>
    <dataValidation type="list" allowBlank="1" sqref="H5:H10">
      <formula1>"Red,Blue,Halved"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FormatPr defaultRowHeight="15" outlineLevelRow="0" outlineLevelCol="0" x14ac:dyDescent="55"/>
  <cols>
    <col min="1" max="1" width="24" customWidth="1"/>
    <col min="2" max="4" width="12" customWidth="1"/>
  </cols>
  <sheetData>
    <row r="1" spans="1:1" x14ac:dyDescent="0.25">
      <c r="A1" s="1" t="s">
        <v>80</v>
      </c>
    </row>
    <row r="2" spans="1:1" x14ac:dyDescent="0.25">
      <c r="A2" s="2" t="s">
        <v>81</v>
      </c>
    </row>
    <row r="4" spans="1:4" x14ac:dyDescent="0.25">
      <c r="A4" s="4" t="s">
        <v>82</v>
      </c>
      <c r="B4" s="4" t="s">
        <v>22</v>
      </c>
      <c r="C4" s="4" t="s">
        <v>24</v>
      </c>
      <c r="D4" s="4" t="s">
        <v>83</v>
      </c>
    </row>
    <row r="5" spans="1:4" x14ac:dyDescent="0.25">
      <c r="A5" s="7" t="s">
        <v>84</v>
      </c>
      <c r="B5" s="9">
        <f>SUM('Round 1 matches'!I5:I7)</f>
      </c>
      <c r="C5" s="9">
        <f>SUM('Round 1 matches'!J5:J7)</f>
      </c>
      <c r="D5" s="7">
        <v>3</v>
      </c>
    </row>
    <row r="6" spans="1:4" x14ac:dyDescent="0.25">
      <c r="A6" s="7" t="s">
        <v>85</v>
      </c>
      <c r="B6" s="9">
        <f>SUM('Round 2 matches'!I5:I7)</f>
      </c>
      <c r="C6" s="9">
        <f>SUM('Round 2 matches'!J5:J7)</f>
      </c>
      <c r="D6" s="7">
        <v>3</v>
      </c>
    </row>
    <row r="7" spans="1:4" x14ac:dyDescent="0.25">
      <c r="A7" s="7" t="s">
        <v>86</v>
      </c>
      <c r="B7" s="9">
        <f>SUM('Round 3 matches'!I5:I10)</f>
      </c>
      <c r="C7" s="9">
        <f>SUM('Round 3 matches'!J5:J10)</f>
      </c>
      <c r="D7" s="7">
        <v>6</v>
      </c>
    </row>
    <row r="8" spans="1:4" x14ac:dyDescent="0.25">
      <c r="A8" s="10" t="s">
        <v>87</v>
      </c>
      <c r="B8" s="9">
        <f>SUM(B5:B7)</f>
      </c>
      <c r="C8" s="9">
        <f>SUM(C5:C7)</f>
      </c>
      <c r="D8" s="7">
        <f>SUM(D5:D7)</f>
      </c>
    </row>
    <row r="9" spans="1:2" x14ac:dyDescent="0.25">
      <c r="A9" s="7" t="s">
        <v>88</v>
      </c>
      <c r="B9" s="9">
        <f>D8</f>
      </c>
    </row>
    <row r="10" spans="1:2" x14ac:dyDescent="0.25">
      <c r="A10" s="7" t="s">
        <v>89</v>
      </c>
      <c r="B10" s="9">
        <f>D8/2+0.5</f>
      </c>
    </row>
    <row r="11" spans="1:2" x14ac:dyDescent="0.25">
      <c r="A11" s="7" t="s">
        <v>90</v>
      </c>
      <c r="B11" s="9">
        <f>MAX(0,B10-B8)</f>
      </c>
    </row>
    <row r="12" spans="1:2" x14ac:dyDescent="0.25">
      <c r="A12" s="7" t="s">
        <v>91</v>
      </c>
      <c r="B12" s="9">
        <f>MAX(0,B10-C8)</f>
      </c>
    </row>
    <row r="13" spans="1:2" x14ac:dyDescent="0.25">
      <c r="A13" s="7" t="s">
        <v>92</v>
      </c>
      <c r="B13" s="7">
        <f>IF(B8&gt;=B10,"Red wins the cup",IF(C8&gt;=B10,"Blue wins the cup",IF(B8+C8=D8,"Tie — holder keeps the cup",IF(B8&gt;C8,"Red leads",IF(C8&gt;B8,"Blue leads","All square")))))</f>
      </c>
    </row>
  </sheetData>
  <sheetProtection sheet="1" formatColumns="0" formatRows="0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FormatPr defaultRowHeight="15" outlineLevelRow="0" outlineLevelCol="0" x14ac:dyDescent="55"/>
  <cols>
    <col min="1" max="1" width="24" customWidth="1"/>
    <col min="2" max="4" width="14" customWidth="1"/>
    <col min="5" max="5" width="4" customWidth="1"/>
    <col min="6" max="6" width="24" customWidth="1"/>
    <col min="7" max="9" width="14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spans="1:9" x14ac:dyDescent="0.25">
      <c r="A4" s="4" t="s">
        <v>95</v>
      </c>
      <c r="B4" s="4" t="s">
        <v>38</v>
      </c>
      <c r="C4" s="4" t="s">
        <v>39</v>
      </c>
      <c r="D4" s="4" t="s">
        <v>40</v>
      </c>
      <c r="F4" s="4" t="s">
        <v>96</v>
      </c>
      <c r="G4" s="4" t="s">
        <v>97</v>
      </c>
      <c r="H4" s="4" t="s">
        <v>2</v>
      </c>
      <c r="I4" s="4" t="s">
        <v>2</v>
      </c>
    </row>
    <row r="5" spans="1:7" x14ac:dyDescent="0.25">
      <c r="A5" s="7" t="s">
        <v>98</v>
      </c>
      <c r="B5" s="11">
        <v>20</v>
      </c>
      <c r="C5" s="11">
        <v>20</v>
      </c>
      <c r="D5" s="11">
        <v>20</v>
      </c>
      <c r="F5" s="7" t="s">
        <v>99</v>
      </c>
      <c r="G5" s="11">
        <v>10</v>
      </c>
    </row>
    <row r="6" spans="1:4" x14ac:dyDescent="0.25">
      <c r="A6" s="7" t="s">
        <v>100</v>
      </c>
      <c r="B6" s="5">
        <v>12</v>
      </c>
      <c r="C6" s="5">
        <v>12</v>
      </c>
      <c r="D6" s="5">
        <v>12</v>
      </c>
    </row>
    <row r="7" spans="1:9" x14ac:dyDescent="0.25">
      <c r="A7" s="7" t="s">
        <v>101</v>
      </c>
      <c r="B7" s="12">
        <f>B5*B6</f>
      </c>
      <c r="C7" s="12">
        <f>C5*C6</f>
      </c>
      <c r="D7" s="12">
        <f>D5*D6</f>
      </c>
      <c r="F7" s="4" t="s">
        <v>102</v>
      </c>
      <c r="G7" s="4" t="s">
        <v>103</v>
      </c>
      <c r="H7" s="4" t="s">
        <v>104</v>
      </c>
      <c r="I7" s="4" t="s">
        <v>105</v>
      </c>
    </row>
    <row r="8" spans="1:9" x14ac:dyDescent="0.25">
      <c r="A8" s="7" t="s">
        <v>106</v>
      </c>
      <c r="B8" s="7">
        <f>SUM(B12:B23)</f>
      </c>
      <c r="C8" s="7">
        <f>SUM(C12:C23)</f>
      </c>
      <c r="D8" s="7">
        <f>SUM(D12:D23)</f>
      </c>
      <c r="F8" s="7" t="s">
        <v>107</v>
      </c>
      <c r="G8" s="5" t="s">
        <v>22</v>
      </c>
      <c r="H8" s="5" t="s">
        <v>24</v>
      </c>
      <c r="I8" s="5" t="s">
        <v>22</v>
      </c>
    </row>
    <row r="9" spans="1:9" x14ac:dyDescent="0.25">
      <c r="A9" s="7" t="s">
        <v>108</v>
      </c>
      <c r="B9" s="13">
        <f>IF(B8&gt;0,B7/B8,0)</f>
      </c>
      <c r="C9" s="13">
        <f>IF(C8&gt;0,C7/C8,0)</f>
      </c>
      <c r="D9" s="13">
        <f>IF(D8&gt;0,D7/D8,0)</f>
      </c>
      <c r="F9" s="7" t="s">
        <v>109</v>
      </c>
      <c r="G9" s="5" t="s">
        <v>72</v>
      </c>
      <c r="H9" s="5" t="s">
        <v>22</v>
      </c>
      <c r="I9" s="5" t="s">
        <v>72</v>
      </c>
    </row>
    <row r="10" spans="6:9" x14ac:dyDescent="0.25">
      <c r="F10" s="7" t="s">
        <v>110</v>
      </c>
      <c r="G10" s="5" t="s">
        <v>24</v>
      </c>
      <c r="H10" s="5" t="s">
        <v>24</v>
      </c>
      <c r="I10" s="5" t="s">
        <v>24</v>
      </c>
    </row>
    <row r="11" spans="1:9" x14ac:dyDescent="0.25">
      <c r="A11" s="4" t="s">
        <v>111</v>
      </c>
      <c r="B11" s="4" t="s">
        <v>38</v>
      </c>
      <c r="C11" s="4" t="s">
        <v>39</v>
      </c>
      <c r="D11" s="4" t="s">
        <v>40</v>
      </c>
      <c r="E11" s="4" t="s">
        <v>112</v>
      </c>
      <c r="F11" s="7" t="s">
        <v>113</v>
      </c>
      <c r="G11" s="5" t="s">
        <v>2</v>
      </c>
      <c r="H11" s="5" t="s">
        <v>2</v>
      </c>
      <c r="I11" s="5" t="s">
        <v>2</v>
      </c>
    </row>
    <row r="12" spans="1:9" x14ac:dyDescent="0.25">
      <c r="A12" s="7">
        <f>Roster!A5</f>
      </c>
      <c r="B12" s="5">
        <v>2</v>
      </c>
      <c r="C12" s="5" t="s">
        <v>2</v>
      </c>
      <c r="D12" s="5" t="s">
        <v>2</v>
      </c>
      <c r="E12" s="13">
        <f>B12*B$9+C12*C$9+D12*D$9</f>
      </c>
      <c r="F12" s="7" t="s">
        <v>114</v>
      </c>
      <c r="G12" s="5" t="s">
        <v>2</v>
      </c>
      <c r="H12" s="5" t="s">
        <v>2</v>
      </c>
      <c r="I12" s="5" t="s">
        <v>2</v>
      </c>
    </row>
    <row r="13" spans="1:9" x14ac:dyDescent="0.25">
      <c r="A13" s="7">
        <f>Roster!A6</f>
      </c>
      <c r="B13" s="5">
        <v>0</v>
      </c>
      <c r="C13" s="5" t="s">
        <v>2</v>
      </c>
      <c r="D13" s="5" t="s">
        <v>2</v>
      </c>
      <c r="E13" s="13">
        <f>B13*B$9+C13*C$9+D13*D$9</f>
      </c>
      <c r="F13" s="7" t="s">
        <v>115</v>
      </c>
      <c r="G13" s="5" t="s">
        <v>2</v>
      </c>
      <c r="H13" s="5" t="s">
        <v>2</v>
      </c>
      <c r="I13" s="5" t="s">
        <v>2</v>
      </c>
    </row>
    <row r="14" spans="1:9" x14ac:dyDescent="0.25">
      <c r="A14" s="7">
        <f>Roster!A7</f>
      </c>
      <c r="B14" s="5">
        <v>1</v>
      </c>
      <c r="C14" s="5" t="s">
        <v>2</v>
      </c>
      <c r="D14" s="5" t="s">
        <v>2</v>
      </c>
      <c r="E14" s="13">
        <f>B14*B$9+C14*C$9+D14*D$9</f>
      </c>
      <c r="F14" s="7" t="s">
        <v>116</v>
      </c>
      <c r="G14" s="5" t="s">
        <v>2</v>
      </c>
      <c r="H14" s="5" t="s">
        <v>2</v>
      </c>
      <c r="I14" s="5" t="s">
        <v>2</v>
      </c>
    </row>
    <row r="15" spans="1:9" x14ac:dyDescent="0.25">
      <c r="A15" s="7">
        <f>Roster!A8</f>
      </c>
      <c r="B15" s="5">
        <v>0</v>
      </c>
      <c r="C15" s="5" t="s">
        <v>2</v>
      </c>
      <c r="D15" s="5" t="s">
        <v>2</v>
      </c>
      <c r="E15" s="13">
        <f>B15*B$9+C15*C$9+D15*D$9</f>
      </c>
      <c r="F15" s="7" t="s">
        <v>117</v>
      </c>
      <c r="G15" s="5" t="s">
        <v>2</v>
      </c>
      <c r="H15" s="5" t="s">
        <v>2</v>
      </c>
      <c r="I15" s="5" t="s">
        <v>2</v>
      </c>
    </row>
    <row r="16" spans="1:9" x14ac:dyDescent="0.25">
      <c r="A16" s="7">
        <f>Roster!A9</f>
      </c>
      <c r="B16" s="5">
        <v>3</v>
      </c>
      <c r="C16" s="5" t="s">
        <v>2</v>
      </c>
      <c r="D16" s="5" t="s">
        <v>2</v>
      </c>
      <c r="E16" s="13">
        <f>B16*B$9+C16*C$9+D16*D$9</f>
      </c>
      <c r="F16" s="7" t="s">
        <v>118</v>
      </c>
      <c r="G16" s="5" t="s">
        <v>2</v>
      </c>
      <c r="H16" s="5" t="s">
        <v>2</v>
      </c>
      <c r="I16" s="5" t="s">
        <v>2</v>
      </c>
    </row>
    <row r="17" spans="1:9" x14ac:dyDescent="0.25">
      <c r="A17" s="7">
        <f>Roster!A10</f>
      </c>
      <c r="B17" s="5">
        <v>0</v>
      </c>
      <c r="C17" s="5" t="s">
        <v>2</v>
      </c>
      <c r="D17" s="5" t="s">
        <v>2</v>
      </c>
      <c r="E17" s="13">
        <f>B17*B$9+C17*C$9+D17*D$9</f>
      </c>
      <c r="F17" s="7" t="s">
        <v>119</v>
      </c>
      <c r="G17" s="5" t="s">
        <v>2</v>
      </c>
      <c r="H17" s="5" t="s">
        <v>2</v>
      </c>
      <c r="I17" s="5" t="s">
        <v>2</v>
      </c>
    </row>
    <row r="18" spans="1:9" x14ac:dyDescent="0.25">
      <c r="A18" s="7">
        <f>Roster!A11</f>
      </c>
      <c r="B18" s="5">
        <v>1</v>
      </c>
      <c r="C18" s="5" t="s">
        <v>2</v>
      </c>
      <c r="D18" s="5" t="s">
        <v>2</v>
      </c>
      <c r="E18" s="13">
        <f>B18*B$9+C18*C$9+D18*D$9</f>
      </c>
      <c r="F18" s="7" t="s">
        <v>120</v>
      </c>
      <c r="G18" s="5" t="s">
        <v>2</v>
      </c>
      <c r="H18" s="5" t="s">
        <v>2</v>
      </c>
      <c r="I18" s="5" t="s">
        <v>2</v>
      </c>
    </row>
    <row r="19" spans="1:9" x14ac:dyDescent="0.25">
      <c r="A19" s="7">
        <f>Roster!A12</f>
      </c>
      <c r="B19" s="5">
        <v>2</v>
      </c>
      <c r="C19" s="5" t="s">
        <v>2</v>
      </c>
      <c r="D19" s="5" t="s">
        <v>2</v>
      </c>
      <c r="E19" s="13">
        <f>B19*B$9+C19*C$9+D19*D$9</f>
      </c>
      <c r="F19" s="7" t="s">
        <v>121</v>
      </c>
      <c r="G19" s="5" t="s">
        <v>2</v>
      </c>
      <c r="H19" s="5" t="s">
        <v>2</v>
      </c>
      <c r="I19" s="5" t="s">
        <v>2</v>
      </c>
    </row>
    <row r="20" spans="1:5" x14ac:dyDescent="0.25">
      <c r="A20" s="7">
        <f>Roster!A13</f>
      </c>
      <c r="B20" s="5">
        <v>0</v>
      </c>
      <c r="C20" s="5" t="s">
        <v>2</v>
      </c>
      <c r="D20" s="5" t="s">
        <v>2</v>
      </c>
      <c r="E20" s="13">
        <f>B20*B$9+C20*C$9+D20*D$9</f>
      </c>
    </row>
    <row r="21" spans="1:6" x14ac:dyDescent="0.25">
      <c r="A21" s="7">
        <f>Roster!A14</f>
      </c>
      <c r="B21" s="5">
        <v>0</v>
      </c>
      <c r="C21" s="5" t="s">
        <v>2</v>
      </c>
      <c r="D21" s="5" t="s">
        <v>2</v>
      </c>
      <c r="E21" s="13">
        <f>B21*B$9+C21*C$9+D21*D$9</f>
      </c>
      <c r="F21" s="10" t="s">
        <v>122</v>
      </c>
    </row>
    <row r="22" spans="1:9" x14ac:dyDescent="0.25">
      <c r="A22" s="7">
        <f>Roster!A15</f>
      </c>
      <c r="B22" s="5">
        <v>1</v>
      </c>
      <c r="C22" s="5" t="s">
        <v>2</v>
      </c>
      <c r="D22" s="5" t="s">
        <v>2</v>
      </c>
      <c r="E22" s="13">
        <f>B22*B$9+C22*C$9+D22*D$9</f>
      </c>
      <c r="F22" s="4" t="s">
        <v>2</v>
      </c>
      <c r="G22" s="4" t="s">
        <v>22</v>
      </c>
      <c r="H22" s="4" t="s">
        <v>24</v>
      </c>
      <c r="I22" s="4" t="s">
        <v>123</v>
      </c>
    </row>
    <row r="23" spans="1:9" x14ac:dyDescent="0.25">
      <c r="A23" s="7">
        <f>Roster!A16</f>
      </c>
      <c r="B23" s="5">
        <v>0</v>
      </c>
      <c r="C23" s="5" t="s">
        <v>2</v>
      </c>
      <c r="D23" s="5" t="s">
        <v>2</v>
      </c>
      <c r="E23" s="13">
        <f>B23*B$9+C23*C$9+D23*D$9</f>
      </c>
      <c r="F23" s="7" t="s">
        <v>124</v>
      </c>
      <c r="G23" s="7">
        <f>COUNTIF(G8:I19,"Red")</f>
      </c>
      <c r="H23" s="7">
        <f>COUNTIF(G8:I19,"Blue")</f>
      </c>
      <c r="I23" s="12">
        <f>(G23-H23)*$G$5</f>
      </c>
    </row>
    <row r="25" spans="6:6" x14ac:dyDescent="0.25">
      <c r="F25" s="2" t="s">
        <v>125</v>
      </c>
    </row>
  </sheetData>
  <sheetProtection sheet="1" formatColumns="0" formatRows="0"/>
  <dataValidations count="1">
    <dataValidation type="list" allowBlank="1" sqref="G8:I19">
      <formula1>"Red,Blue,Halved"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FormatPr defaultRowHeight="15" outlineLevelRow="0" outlineLevelCol="0" x14ac:dyDescent="55"/>
  <cols>
    <col min="1" max="1" width="22" customWidth="1"/>
    <col min="2" max="2" width="10" customWidth="1"/>
    <col min="3" max="6" width="14" customWidth="1"/>
    <col min="7" max="7" width="4" customWidth="1"/>
    <col min="8" max="9" width="22" customWidth="1"/>
    <col min="10" max="10" width="12" customWidth="1"/>
  </cols>
  <sheetData>
    <row r="1" spans="1:1" x14ac:dyDescent="0.25">
      <c r="A1" s="1" t="s">
        <v>126</v>
      </c>
    </row>
    <row r="2" spans="1:1" x14ac:dyDescent="0.25">
      <c r="A2" s="2" t="s">
        <v>127</v>
      </c>
    </row>
    <row r="4" spans="1:10" x14ac:dyDescent="0.25">
      <c r="A4" s="4" t="s">
        <v>16</v>
      </c>
      <c r="B4" s="4" t="s">
        <v>17</v>
      </c>
      <c r="C4" s="4" t="s">
        <v>128</v>
      </c>
      <c r="D4" s="4" t="s">
        <v>129</v>
      </c>
      <c r="E4" s="4" t="s">
        <v>130</v>
      </c>
      <c r="F4" s="4" t="s">
        <v>131</v>
      </c>
      <c r="H4" s="4" t="s">
        <v>132</v>
      </c>
      <c r="I4" s="4" t="s">
        <v>133</v>
      </c>
      <c r="J4" s="4" t="s">
        <v>134</v>
      </c>
    </row>
    <row r="5" spans="1:10" x14ac:dyDescent="0.25">
      <c r="A5" s="7">
        <f>Roster!A5</f>
      </c>
      <c r="B5" s="7">
        <f>Roster!B5</f>
      </c>
      <c r="C5" s="13">
        <f>'Side games'!E12</f>
      </c>
      <c r="D5" s="13">
        <f>IF('Side games'!B12="",0,'Side games'!B$5)+IF('Side games'!C12="",0,'Side games'!C$5)+IF('Side games'!D12="",0,'Side games'!D$5)</f>
      </c>
      <c r="E5" s="13">
        <f>IF(B5="Red",'Side games'!$I$23/COUNTIF(Roster!$B$5:$B$16,"Red"),-'Side games'!$I$23/COUNTIF(Roster!$B$5:$B$16,"Blue"))</f>
      </c>
      <c r="F5" s="13">
        <f>C5-D5+E5</f>
      </c>
      <c r="H5" s="5" t="s">
        <v>2</v>
      </c>
      <c r="I5" s="5" t="s">
        <v>2</v>
      </c>
      <c r="J5" s="14" t="s">
        <v>2</v>
      </c>
    </row>
    <row r="6" spans="1:10" x14ac:dyDescent="0.25">
      <c r="A6" s="7">
        <f>Roster!A6</f>
      </c>
      <c r="B6" s="7">
        <f>Roster!B6</f>
      </c>
      <c r="C6" s="13">
        <f>'Side games'!E13</f>
      </c>
      <c r="D6" s="13">
        <f>IF('Side games'!B13="",0,'Side games'!B$5)+IF('Side games'!C13="",0,'Side games'!C$5)+IF('Side games'!D13="",0,'Side games'!D$5)</f>
      </c>
      <c r="E6" s="13">
        <f>IF(B6="Red",'Side games'!$I$23/COUNTIF(Roster!$B$5:$B$16,"Red"),-'Side games'!$I$23/COUNTIF(Roster!$B$5:$B$16,"Blue"))</f>
      </c>
      <c r="F6" s="13">
        <f>C6-D6+E6</f>
      </c>
      <c r="H6" s="5" t="s">
        <v>2</v>
      </c>
      <c r="I6" s="5" t="s">
        <v>2</v>
      </c>
      <c r="J6" s="14" t="s">
        <v>2</v>
      </c>
    </row>
    <row r="7" spans="1:10" x14ac:dyDescent="0.25">
      <c r="A7" s="7">
        <f>Roster!A7</f>
      </c>
      <c r="B7" s="7">
        <f>Roster!B7</f>
      </c>
      <c r="C7" s="13">
        <f>'Side games'!E14</f>
      </c>
      <c r="D7" s="13">
        <f>IF('Side games'!B14="",0,'Side games'!B$5)+IF('Side games'!C14="",0,'Side games'!C$5)+IF('Side games'!D14="",0,'Side games'!D$5)</f>
      </c>
      <c r="E7" s="13">
        <f>IF(B7="Red",'Side games'!$I$23/COUNTIF(Roster!$B$5:$B$16,"Red"),-'Side games'!$I$23/COUNTIF(Roster!$B$5:$B$16,"Blue"))</f>
      </c>
      <c r="F7" s="13">
        <f>C7-D7+E7</f>
      </c>
      <c r="H7" s="5" t="s">
        <v>2</v>
      </c>
      <c r="I7" s="5" t="s">
        <v>2</v>
      </c>
      <c r="J7" s="14" t="s">
        <v>2</v>
      </c>
    </row>
    <row r="8" spans="1:10" x14ac:dyDescent="0.25">
      <c r="A8" s="7">
        <f>Roster!A8</f>
      </c>
      <c r="B8" s="7">
        <f>Roster!B8</f>
      </c>
      <c r="C8" s="13">
        <f>'Side games'!E15</f>
      </c>
      <c r="D8" s="13">
        <f>IF('Side games'!B15="",0,'Side games'!B$5)+IF('Side games'!C15="",0,'Side games'!C$5)+IF('Side games'!D15="",0,'Side games'!D$5)</f>
      </c>
      <c r="E8" s="13">
        <f>IF(B8="Red",'Side games'!$I$23/COUNTIF(Roster!$B$5:$B$16,"Red"),-'Side games'!$I$23/COUNTIF(Roster!$B$5:$B$16,"Blue"))</f>
      </c>
      <c r="F8" s="13">
        <f>C8-D8+E8</f>
      </c>
      <c r="H8" s="5" t="s">
        <v>2</v>
      </c>
      <c r="I8" s="5" t="s">
        <v>2</v>
      </c>
      <c r="J8" s="14" t="s">
        <v>2</v>
      </c>
    </row>
    <row r="9" spans="1:10" x14ac:dyDescent="0.25">
      <c r="A9" s="7">
        <f>Roster!A9</f>
      </c>
      <c r="B9" s="7">
        <f>Roster!B9</f>
      </c>
      <c r="C9" s="13">
        <f>'Side games'!E16</f>
      </c>
      <c r="D9" s="13">
        <f>IF('Side games'!B16="",0,'Side games'!B$5)+IF('Side games'!C16="",0,'Side games'!C$5)+IF('Side games'!D16="",0,'Side games'!D$5)</f>
      </c>
      <c r="E9" s="13">
        <f>IF(B9="Red",'Side games'!$I$23/COUNTIF(Roster!$B$5:$B$16,"Red"),-'Side games'!$I$23/COUNTIF(Roster!$B$5:$B$16,"Blue"))</f>
      </c>
      <c r="F9" s="13">
        <f>C9-D9+E9</f>
      </c>
      <c r="H9" s="5" t="s">
        <v>2</v>
      </c>
      <c r="I9" s="5" t="s">
        <v>2</v>
      </c>
      <c r="J9" s="14" t="s">
        <v>2</v>
      </c>
    </row>
    <row r="10" spans="1:10" x14ac:dyDescent="0.25">
      <c r="A10" s="7">
        <f>Roster!A10</f>
      </c>
      <c r="B10" s="7">
        <f>Roster!B10</f>
      </c>
      <c r="C10" s="13">
        <f>'Side games'!E17</f>
      </c>
      <c r="D10" s="13">
        <f>IF('Side games'!B17="",0,'Side games'!B$5)+IF('Side games'!C17="",0,'Side games'!C$5)+IF('Side games'!D17="",0,'Side games'!D$5)</f>
      </c>
      <c r="E10" s="13">
        <f>IF(B10="Red",'Side games'!$I$23/COUNTIF(Roster!$B$5:$B$16,"Red"),-'Side games'!$I$23/COUNTIF(Roster!$B$5:$B$16,"Blue"))</f>
      </c>
      <c r="F10" s="13">
        <f>C10-D10+E10</f>
      </c>
      <c r="H10" s="5" t="s">
        <v>2</v>
      </c>
      <c r="I10" s="5" t="s">
        <v>2</v>
      </c>
      <c r="J10" s="14" t="s">
        <v>2</v>
      </c>
    </row>
    <row r="11" spans="1:10" x14ac:dyDescent="0.25">
      <c r="A11" s="7">
        <f>Roster!A11</f>
      </c>
      <c r="B11" s="7">
        <f>Roster!B11</f>
      </c>
      <c r="C11" s="13">
        <f>'Side games'!E18</f>
      </c>
      <c r="D11" s="13">
        <f>IF('Side games'!B18="",0,'Side games'!B$5)+IF('Side games'!C18="",0,'Side games'!C$5)+IF('Side games'!D18="",0,'Side games'!D$5)</f>
      </c>
      <c r="E11" s="13">
        <f>IF(B11="Red",'Side games'!$I$23/COUNTIF(Roster!$B$5:$B$16,"Red"),-'Side games'!$I$23/COUNTIF(Roster!$B$5:$B$16,"Blue"))</f>
      </c>
      <c r="F11" s="13">
        <f>C11-D11+E11</f>
      </c>
      <c r="H11" s="5" t="s">
        <v>2</v>
      </c>
      <c r="I11" s="5" t="s">
        <v>2</v>
      </c>
      <c r="J11" s="14" t="s">
        <v>2</v>
      </c>
    </row>
    <row r="12" spans="1:10" x14ac:dyDescent="0.25">
      <c r="A12" s="7">
        <f>Roster!A12</f>
      </c>
      <c r="B12" s="7">
        <f>Roster!B12</f>
      </c>
      <c r="C12" s="13">
        <f>'Side games'!E19</f>
      </c>
      <c r="D12" s="13">
        <f>IF('Side games'!B19="",0,'Side games'!B$5)+IF('Side games'!C19="",0,'Side games'!C$5)+IF('Side games'!D19="",0,'Side games'!D$5)</f>
      </c>
      <c r="E12" s="13">
        <f>IF(B12="Red",'Side games'!$I$23/COUNTIF(Roster!$B$5:$B$16,"Red"),-'Side games'!$I$23/COUNTIF(Roster!$B$5:$B$16,"Blue"))</f>
      </c>
      <c r="F12" s="13">
        <f>C12-D12+E12</f>
      </c>
      <c r="H12" s="5" t="s">
        <v>2</v>
      </c>
      <c r="I12" s="5" t="s">
        <v>2</v>
      </c>
      <c r="J12" s="14" t="s">
        <v>2</v>
      </c>
    </row>
    <row r="13" spans="1:6" x14ac:dyDescent="0.25">
      <c r="A13" s="7">
        <f>Roster!A13</f>
      </c>
      <c r="B13" s="7">
        <f>Roster!B13</f>
      </c>
      <c r="C13" s="13">
        <f>'Side games'!E20</f>
      </c>
      <c r="D13" s="13">
        <f>IF('Side games'!B20="",0,'Side games'!B$5)+IF('Side games'!C20="",0,'Side games'!C$5)+IF('Side games'!D20="",0,'Side games'!D$5)</f>
      </c>
      <c r="E13" s="13">
        <f>IF(B13="Red",'Side games'!$I$23/COUNTIF(Roster!$B$5:$B$16,"Red"),-'Side games'!$I$23/COUNTIF(Roster!$B$5:$B$16,"Blue"))</f>
      </c>
      <c r="F13" s="13">
        <f>C13-D13+E13</f>
      </c>
    </row>
    <row r="14" spans="1:8" x14ac:dyDescent="0.25">
      <c r="A14" s="7">
        <f>Roster!A14</f>
      </c>
      <c r="B14" s="7">
        <f>Roster!B14</f>
      </c>
      <c r="C14" s="13">
        <f>'Side games'!E21</f>
      </c>
      <c r="D14" s="13">
        <f>IF('Side games'!B21="",0,'Side games'!B$5)+IF('Side games'!C21="",0,'Side games'!C$5)+IF('Side games'!D21="",0,'Side games'!D$5)</f>
      </c>
      <c r="E14" s="13">
        <f>IF(B14="Red",'Side games'!$I$23/COUNTIF(Roster!$B$5:$B$16,"Red"),-'Side games'!$I$23/COUNTIF(Roster!$B$5:$B$16,"Blue"))</f>
      </c>
      <c r="F14" s="13">
        <f>C14-D14+E14</f>
      </c>
      <c r="H14" s="2" t="s">
        <v>135</v>
      </c>
    </row>
    <row r="15" spans="1:6" x14ac:dyDescent="0.25">
      <c r="A15" s="7">
        <f>Roster!A15</f>
      </c>
      <c r="B15" s="7">
        <f>Roster!B15</f>
      </c>
      <c r="C15" s="13">
        <f>'Side games'!E22</f>
      </c>
      <c r="D15" s="13">
        <f>IF('Side games'!B22="",0,'Side games'!B$5)+IF('Side games'!C22="",0,'Side games'!C$5)+IF('Side games'!D22="",0,'Side games'!D$5)</f>
      </c>
      <c r="E15" s="13">
        <f>IF(B15="Red",'Side games'!$I$23/COUNTIF(Roster!$B$5:$B$16,"Red"),-'Side games'!$I$23/COUNTIF(Roster!$B$5:$B$16,"Blue"))</f>
      </c>
      <c r="F15" s="13">
        <f>C15-D15+E15</f>
      </c>
    </row>
    <row r="16" spans="1:6" x14ac:dyDescent="0.25">
      <c r="A16" s="7">
        <f>Roster!A16</f>
      </c>
      <c r="B16" s="7">
        <f>Roster!B16</f>
      </c>
      <c r="C16" s="13">
        <f>'Side games'!E23</f>
      </c>
      <c r="D16" s="13">
        <f>IF('Side games'!B23="",0,'Side games'!B$5)+IF('Side games'!C23="",0,'Side games'!C$5)+IF('Side games'!D23="",0,'Side games'!D$5)</f>
      </c>
      <c r="E16" s="13">
        <f>IF(B16="Red",'Side games'!$I$23/COUNTIF(Roster!$B$5:$B$16,"Red"),-'Side games'!$I$23/COUNTIF(Roster!$B$5:$B$16,"Blue"))</f>
      </c>
      <c r="F16" s="13">
        <f>C16-D16+E16</f>
      </c>
    </row>
    <row r="17" spans="1:6" x14ac:dyDescent="0.25">
      <c r="A17" s="10" t="s">
        <v>136</v>
      </c>
      <c r="F17" s="13">
        <f>SUM(F5:F16)</f>
      </c>
    </row>
  </sheetData>
  <sheetProtection sheet="1" formatColumns="0" formatRows="0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How to use</vt:lpstr>
      <vt:lpstr>Roster</vt:lpstr>
      <vt:lpstr>Course handicaps</vt:lpstr>
      <vt:lpstr>Round 1 matches</vt:lpstr>
      <vt:lpstr>Round 2 matches</vt:lpstr>
      <vt:lpstr>Round 3 matches</vt:lpstr>
      <vt:lpstr>Cup scoreboard</vt:lpstr>
      <vt:lpstr>Side games</vt:lpstr>
      <vt:lpstr>Money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Captain's Pick</dc:creator>
  <dc:title/>
  <dc:subject/>
  <dc:description/>
  <cp:keywords/>
  <cp:category/>
  <cp:lastModifiedBy>Unknown</cp:lastModifiedBy>
  <dcterms:created xsi:type="dcterms:W3CDTF">2026-10-08T00:00:00Z</dcterms:created>
  <dcterms:modified xsi:type="dcterms:W3CDTF">2026-10-08T17:49:27Z</dcterms:modified>
</cp:coreProperties>
</file>